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urkart\_Work\_____CRP 2nd Phase\2018\Annual Report 2017\Center Report 2017\Inputs Stefan\"/>
    </mc:Choice>
  </mc:AlternateContent>
  <bookViews>
    <workbookView xWindow="0" yWindow="0" windowWidth="1920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" i="1" l="1"/>
  <c r="Q5" i="1"/>
  <c r="Q6" i="1"/>
  <c r="Q7" i="1"/>
  <c r="Q8" i="1"/>
  <c r="Q9" i="1"/>
  <c r="Q10" i="1"/>
  <c r="Q11" i="1"/>
  <c r="Q12" i="1"/>
  <c r="Q13" i="1"/>
  <c r="Q14" i="1"/>
  <c r="Q3" i="1"/>
  <c r="H15" i="1"/>
  <c r="P15" i="1"/>
  <c r="P4" i="1"/>
  <c r="P5" i="1"/>
  <c r="P6" i="1"/>
  <c r="P7" i="1"/>
  <c r="P8" i="1"/>
  <c r="P9" i="1"/>
  <c r="P10" i="1"/>
  <c r="P11" i="1"/>
  <c r="P12" i="1"/>
  <c r="P13" i="1"/>
  <c r="P14" i="1"/>
  <c r="P3" i="1"/>
  <c r="I13" i="1"/>
  <c r="I11" i="1"/>
  <c r="I14" i="1"/>
  <c r="I12" i="1"/>
  <c r="I7" i="1"/>
  <c r="I6" i="1"/>
  <c r="I5" i="1"/>
  <c r="I4" i="1"/>
  <c r="I3" i="1"/>
  <c r="N4" i="1" l="1"/>
  <c r="N5" i="1"/>
  <c r="N6" i="1"/>
  <c r="N7" i="1"/>
  <c r="N8" i="1"/>
  <c r="N9" i="1"/>
  <c r="N10" i="1"/>
  <c r="N11" i="1"/>
  <c r="N12" i="1"/>
  <c r="N13" i="1"/>
  <c r="N14" i="1"/>
  <c r="N3" i="1"/>
  <c r="L13" i="1"/>
  <c r="M13" i="1"/>
  <c r="K13" i="1"/>
  <c r="J13" i="1"/>
  <c r="O4" i="1"/>
  <c r="O5" i="1"/>
  <c r="O6" i="1"/>
  <c r="O7" i="1"/>
  <c r="O8" i="1"/>
  <c r="O9" i="1"/>
  <c r="O10" i="1"/>
  <c r="O11" i="1"/>
  <c r="O12" i="1"/>
  <c r="O13" i="1"/>
  <c r="O14" i="1"/>
  <c r="O3" i="1"/>
  <c r="O15" i="1" s="1"/>
  <c r="F15" i="1"/>
  <c r="G15" i="1"/>
  <c r="N15" i="1" l="1"/>
  <c r="M4" i="1"/>
  <c r="M5" i="1"/>
  <c r="M7" i="1"/>
  <c r="M14" i="1"/>
  <c r="M3" i="1"/>
  <c r="L4" i="1"/>
  <c r="L5" i="1"/>
  <c r="L7" i="1"/>
  <c r="L11" i="1"/>
  <c r="L14" i="1"/>
  <c r="L3" i="1"/>
  <c r="K4" i="1"/>
  <c r="K5" i="1"/>
  <c r="K6" i="1"/>
  <c r="K7" i="1"/>
  <c r="K12" i="1"/>
  <c r="K14" i="1"/>
  <c r="K3" i="1"/>
  <c r="J4" i="1"/>
  <c r="J5" i="1"/>
  <c r="J6" i="1"/>
  <c r="J7" i="1"/>
  <c r="J11" i="1"/>
  <c r="J14" i="1"/>
  <c r="J3" i="1"/>
  <c r="C11" i="1" l="1"/>
  <c r="C10" i="1"/>
  <c r="K10" i="1" s="1"/>
  <c r="C9" i="1"/>
  <c r="K9" i="1" s="1"/>
  <c r="C8" i="1"/>
  <c r="E9" i="1"/>
  <c r="M9" i="1" s="1"/>
  <c r="E8" i="1"/>
  <c r="M8" i="1" s="1"/>
  <c r="E10" i="1"/>
  <c r="M10" i="1" s="1"/>
  <c r="E11" i="1"/>
  <c r="M11" i="1" s="1"/>
  <c r="E12" i="1"/>
  <c r="M12" i="1" s="1"/>
  <c r="E6" i="1"/>
  <c r="B9" i="1"/>
  <c r="B12" i="1"/>
  <c r="D12" i="1"/>
  <c r="L12" i="1" s="1"/>
  <c r="D10" i="1"/>
  <c r="L10" i="1" s="1"/>
  <c r="D9" i="1"/>
  <c r="L9" i="1" s="1"/>
  <c r="D6" i="1"/>
  <c r="D8" i="1"/>
  <c r="L8" i="1" s="1"/>
  <c r="B10" i="1"/>
  <c r="B8" i="1"/>
  <c r="I10" i="1" l="1"/>
  <c r="J10" i="1"/>
  <c r="M6" i="1"/>
  <c r="M15" i="1" s="1"/>
  <c r="E15" i="1"/>
  <c r="K11" i="1"/>
  <c r="D15" i="1"/>
  <c r="L6" i="1"/>
  <c r="J12" i="1"/>
  <c r="C15" i="1"/>
  <c r="K8" i="1"/>
  <c r="I8" i="1"/>
  <c r="B15" i="1"/>
  <c r="J8" i="1"/>
  <c r="I9" i="1"/>
  <c r="J9" i="1"/>
  <c r="I15" i="1" l="1"/>
  <c r="J15" i="1"/>
  <c r="K15" i="1"/>
  <c r="L15" i="1"/>
  <c r="R14" i="1"/>
  <c r="R9" i="1"/>
  <c r="R10" i="1"/>
  <c r="R8" i="1"/>
  <c r="Q15" i="1"/>
  <c r="R4" i="1" s="1"/>
  <c r="R6" i="1"/>
  <c r="R11" i="1" l="1"/>
  <c r="R5" i="1"/>
  <c r="R13" i="1"/>
  <c r="R7" i="1"/>
  <c r="R3" i="1"/>
  <c r="R12" i="1"/>
</calcChain>
</file>

<file path=xl/sharedStrings.xml><?xml version="1.0" encoding="utf-8"?>
<sst xmlns="http://schemas.openxmlformats.org/spreadsheetml/2006/main" count="27" uniqueCount="25">
  <si>
    <t>2001-2010</t>
  </si>
  <si>
    <t>Argentina</t>
  </si>
  <si>
    <t xml:space="preserve">Brazil </t>
  </si>
  <si>
    <t>Colombia</t>
  </si>
  <si>
    <t>Mexico</t>
  </si>
  <si>
    <t>Nicaragua</t>
  </si>
  <si>
    <t>USA</t>
  </si>
  <si>
    <t>Australia</t>
  </si>
  <si>
    <t>Total</t>
  </si>
  <si>
    <t>Total all countries</t>
  </si>
  <si>
    <t>Country</t>
  </si>
  <si>
    <t>Cultivated area in ha**</t>
  </si>
  <si>
    <t>Seeds sales in kg*</t>
  </si>
  <si>
    <t>**Calculated with a rather conservative sowing rate of 7 kg/ha</t>
  </si>
  <si>
    <t>South America rest***</t>
  </si>
  <si>
    <t>Central America and Caribbean rest****</t>
  </si>
  <si>
    <t>****Except Mexico and Nicaragua</t>
  </si>
  <si>
    <t>*Based on royalty reports for seed sales</t>
  </si>
  <si>
    <t>***Mainly Venezuela; except Argentina, Brazil, Colombia</t>
  </si>
  <si>
    <t>******Mainly Kenya, Ethiopia, South Africa, DR Congo; 30,000 adopters according to ICIPE, many plant cuttings</t>
  </si>
  <si>
    <t>Africa******</t>
  </si>
  <si>
    <t>Asia &amp; Polynesia*****</t>
  </si>
  <si>
    <t xml:space="preserve">*****Interesting is Vanuatu with approx. 2t/year </t>
  </si>
  <si>
    <t>Europe</t>
  </si>
  <si>
    <t>Figures for 2014 are lower than expected resulting from technical problems of the private sector partner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</si>
</sst>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3" xfId="0" applyBorder="1"/>
    <xf numFmtId="0" fontId="0" fillId="0" borderId="9" xfId="0" applyBorder="1"/>
    <xf numFmtId="0" fontId="0" fillId="0" borderId="1" xfId="0" applyBorder="1"/>
    <xf numFmtId="0" fontId="0" fillId="0" borderId="11" xfId="0" applyBorder="1" applyAlignment="1">
      <alignment horizontal="right"/>
    </xf>
    <xf numFmtId="0" fontId="0" fillId="0" borderId="13" xfId="0" applyBorder="1"/>
    <xf numFmtId="0" fontId="0" fillId="0" borderId="15" xfId="0" applyBorder="1"/>
    <xf numFmtId="4" fontId="0" fillId="0" borderId="0" xfId="0" applyNumberFormat="1"/>
    <xf numFmtId="3" fontId="0" fillId="0" borderId="12" xfId="0" applyNumberFormat="1" applyBorder="1"/>
    <xf numFmtId="3" fontId="0" fillId="0" borderId="14" xfId="0" applyNumberFormat="1" applyBorder="1"/>
    <xf numFmtId="3" fontId="0" fillId="0" borderId="16" xfId="0" applyNumberFormat="1" applyFill="1" applyBorder="1"/>
    <xf numFmtId="3" fontId="0" fillId="0" borderId="8" xfId="0" applyNumberFormat="1" applyBorder="1"/>
    <xf numFmtId="3" fontId="0" fillId="0" borderId="16" xfId="0" applyNumberFormat="1" applyBorder="1"/>
    <xf numFmtId="3" fontId="0" fillId="0" borderId="11" xfId="0" applyNumberFormat="1" applyBorder="1"/>
    <xf numFmtId="3" fontId="0" fillId="0" borderId="13" xfId="0" applyNumberFormat="1" applyBorder="1"/>
    <xf numFmtId="3" fontId="0" fillId="0" borderId="19" xfId="0" applyNumberFormat="1" applyBorder="1"/>
    <xf numFmtId="3" fontId="0" fillId="0" borderId="18" xfId="0" applyNumberFormat="1" applyBorder="1"/>
    <xf numFmtId="3" fontId="0" fillId="0" borderId="10" xfId="0" applyNumberFormat="1" applyBorder="1"/>
    <xf numFmtId="3" fontId="0" fillId="0" borderId="17" xfId="0" applyNumberFormat="1" applyBorder="1"/>
    <xf numFmtId="10" fontId="0" fillId="0" borderId="0" xfId="0" applyNumberFormat="1" applyFill="1" applyBorder="1"/>
    <xf numFmtId="3" fontId="0" fillId="0" borderId="14" xfId="0" applyNumberFormat="1" applyFill="1" applyBorder="1"/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tabSelected="1" workbookViewId="0">
      <selection activeCell="J28" sqref="J28"/>
    </sheetView>
  </sheetViews>
  <sheetFormatPr defaultRowHeight="15" x14ac:dyDescent="0.25"/>
  <cols>
    <col min="1" max="1" width="28.28515625" customWidth="1"/>
    <col min="2" max="2" width="12.85546875" customWidth="1"/>
    <col min="10" max="10" width="10.28515625" customWidth="1"/>
    <col min="17" max="18" width="10.140625" bestFit="1" customWidth="1"/>
  </cols>
  <sheetData>
    <row r="1" spans="1:18" ht="15" customHeight="1" x14ac:dyDescent="0.25">
      <c r="A1" s="28" t="s">
        <v>10</v>
      </c>
      <c r="B1" s="22" t="s">
        <v>12</v>
      </c>
      <c r="C1" s="23"/>
      <c r="D1" s="23"/>
      <c r="E1" s="23"/>
      <c r="F1" s="23"/>
      <c r="G1" s="23"/>
      <c r="H1" s="23"/>
      <c r="I1" s="24"/>
      <c r="J1" s="25" t="s">
        <v>11</v>
      </c>
      <c r="K1" s="26"/>
      <c r="L1" s="26"/>
      <c r="M1" s="26"/>
      <c r="N1" s="26"/>
      <c r="O1" s="26"/>
      <c r="P1" s="26"/>
      <c r="Q1" s="27"/>
    </row>
    <row r="2" spans="1:18" ht="15.75" thickBot="1" x14ac:dyDescent="0.3">
      <c r="A2" s="29"/>
      <c r="B2" s="4" t="s">
        <v>0</v>
      </c>
      <c r="C2" s="5">
        <v>2011</v>
      </c>
      <c r="D2" s="5">
        <v>2012</v>
      </c>
      <c r="E2" s="5">
        <v>2013</v>
      </c>
      <c r="F2" s="5">
        <v>2014</v>
      </c>
      <c r="G2" s="6">
        <v>2015</v>
      </c>
      <c r="H2" s="5">
        <v>2016</v>
      </c>
      <c r="I2" s="2" t="s">
        <v>8</v>
      </c>
      <c r="J2" s="4" t="s">
        <v>0</v>
      </c>
      <c r="K2" s="6">
        <v>2011</v>
      </c>
      <c r="L2" s="5">
        <v>2012</v>
      </c>
      <c r="M2" s="5">
        <v>2013</v>
      </c>
      <c r="N2" s="5">
        <v>2014</v>
      </c>
      <c r="O2" s="5">
        <v>2015</v>
      </c>
      <c r="P2" s="5">
        <v>2016</v>
      </c>
      <c r="Q2" s="2" t="s">
        <v>8</v>
      </c>
    </row>
    <row r="3" spans="1:18" x14ac:dyDescent="0.25">
      <c r="A3" s="1" t="s">
        <v>1</v>
      </c>
      <c r="B3" s="8">
        <v>166930</v>
      </c>
      <c r="C3" s="9">
        <v>32675</v>
      </c>
      <c r="D3" s="9">
        <v>29758</v>
      </c>
      <c r="E3" s="9">
        <v>15449</v>
      </c>
      <c r="F3" s="9">
        <v>10886</v>
      </c>
      <c r="G3" s="10">
        <v>18030</v>
      </c>
      <c r="H3" s="20">
        <v>701.54</v>
      </c>
      <c r="I3" s="11">
        <f>SUM(B3:H3)</f>
        <v>274429.53999999998</v>
      </c>
      <c r="J3" s="8">
        <f>B3/7</f>
        <v>23847.142857142859</v>
      </c>
      <c r="K3" s="12">
        <f>C3/7</f>
        <v>4667.8571428571431</v>
      </c>
      <c r="L3" s="9">
        <f>D3/7</f>
        <v>4251.1428571428569</v>
      </c>
      <c r="M3" s="9">
        <f>E3/7</f>
        <v>2207</v>
      </c>
      <c r="N3" s="9">
        <f t="shared" ref="N3:N14" si="0">F3/7</f>
        <v>1555.1428571428571</v>
      </c>
      <c r="O3" s="9">
        <f>G3/7</f>
        <v>2575.7142857142858</v>
      </c>
      <c r="P3" s="9">
        <f>H3/7</f>
        <v>100.22</v>
      </c>
      <c r="Q3" s="11">
        <f>SUM(J3:P3)</f>
        <v>39204.219999999994</v>
      </c>
      <c r="R3" s="19">
        <f>Q3/$Q$15</f>
        <v>5.4021897757744367E-2</v>
      </c>
    </row>
    <row r="4" spans="1:18" x14ac:dyDescent="0.25">
      <c r="A4" s="1" t="s">
        <v>2</v>
      </c>
      <c r="B4" s="8">
        <v>242656</v>
      </c>
      <c r="C4" s="9">
        <v>189769</v>
      </c>
      <c r="D4" s="9">
        <v>455542</v>
      </c>
      <c r="E4" s="9">
        <v>525906</v>
      </c>
      <c r="F4" s="9">
        <v>199732</v>
      </c>
      <c r="G4" s="10">
        <v>267080</v>
      </c>
      <c r="H4" s="20">
        <v>297397.48</v>
      </c>
      <c r="I4" s="11">
        <f>SUM(B4:H4)</f>
        <v>2178082.48</v>
      </c>
      <c r="J4" s="8">
        <f t="shared" ref="J4:J14" si="1">B4/7</f>
        <v>34665.142857142855</v>
      </c>
      <c r="K4" s="12">
        <f t="shared" ref="K4:K14" si="2">C4/7</f>
        <v>27109.857142857141</v>
      </c>
      <c r="L4" s="9">
        <f t="shared" ref="L4:L14" si="3">D4/7</f>
        <v>65077.428571428572</v>
      </c>
      <c r="M4" s="9">
        <f t="shared" ref="M4:M14" si="4">E4/7</f>
        <v>75129.428571428565</v>
      </c>
      <c r="N4" s="9">
        <f t="shared" si="0"/>
        <v>28533.142857142859</v>
      </c>
      <c r="O4" s="9">
        <f t="shared" ref="O4:O14" si="5">G4/7</f>
        <v>38154.285714285717</v>
      </c>
      <c r="P4" s="9">
        <f t="shared" ref="P4:P14" si="6">H4/7</f>
        <v>42485.354285714282</v>
      </c>
      <c r="Q4" s="11">
        <f t="shared" ref="Q4:Q14" si="7">SUM(J4:P4)</f>
        <v>311154.64</v>
      </c>
      <c r="R4" s="19">
        <f t="shared" ref="R4:R14" si="8">Q4/$Q$15</f>
        <v>0.42875905065647935</v>
      </c>
    </row>
    <row r="5" spans="1:18" x14ac:dyDescent="0.25">
      <c r="A5" s="1" t="s">
        <v>3</v>
      </c>
      <c r="B5" s="8">
        <v>152781</v>
      </c>
      <c r="C5" s="9">
        <v>0</v>
      </c>
      <c r="D5" s="9">
        <v>12000</v>
      </c>
      <c r="E5" s="9">
        <v>13020</v>
      </c>
      <c r="F5" s="9">
        <v>17000</v>
      </c>
      <c r="G5" s="10">
        <v>0</v>
      </c>
      <c r="H5" s="20">
        <v>15000</v>
      </c>
      <c r="I5" s="11">
        <f>SUM(B5:H5)</f>
        <v>209801</v>
      </c>
      <c r="J5" s="8">
        <f t="shared" si="1"/>
        <v>21825.857142857141</v>
      </c>
      <c r="K5" s="12">
        <f t="shared" si="2"/>
        <v>0</v>
      </c>
      <c r="L5" s="9">
        <f t="shared" si="3"/>
        <v>1714.2857142857142</v>
      </c>
      <c r="M5" s="9">
        <f t="shared" si="4"/>
        <v>1860</v>
      </c>
      <c r="N5" s="9">
        <f t="shared" si="0"/>
        <v>2428.5714285714284</v>
      </c>
      <c r="O5" s="9">
        <f t="shared" si="5"/>
        <v>0</v>
      </c>
      <c r="P5" s="9">
        <f t="shared" si="6"/>
        <v>2142.8571428571427</v>
      </c>
      <c r="Q5" s="11">
        <f t="shared" si="7"/>
        <v>29971.571428571424</v>
      </c>
      <c r="R5" s="19">
        <f t="shared" si="8"/>
        <v>4.1299665376666544E-2</v>
      </c>
    </row>
    <row r="6" spans="1:18" x14ac:dyDescent="0.25">
      <c r="A6" s="1" t="s">
        <v>4</v>
      </c>
      <c r="B6" s="8">
        <v>387982</v>
      </c>
      <c r="C6" s="9">
        <v>89214</v>
      </c>
      <c r="D6" s="9">
        <f>(43326+7206)</f>
        <v>50532</v>
      </c>
      <c r="E6" s="9">
        <f>(100545+4634+346)</f>
        <v>105525</v>
      </c>
      <c r="F6" s="9">
        <v>128394</v>
      </c>
      <c r="G6" s="10">
        <v>137125</v>
      </c>
      <c r="H6" s="20">
        <v>122118</v>
      </c>
      <c r="I6" s="11">
        <f>SUM(B6:H6)</f>
        <v>1020890</v>
      </c>
      <c r="J6" s="8">
        <f t="shared" si="1"/>
        <v>55426</v>
      </c>
      <c r="K6" s="12">
        <f t="shared" si="2"/>
        <v>12744.857142857143</v>
      </c>
      <c r="L6" s="9">
        <f t="shared" si="3"/>
        <v>7218.8571428571431</v>
      </c>
      <c r="M6" s="9">
        <f t="shared" si="4"/>
        <v>15075</v>
      </c>
      <c r="N6" s="9">
        <f t="shared" si="0"/>
        <v>18342</v>
      </c>
      <c r="O6" s="9">
        <f t="shared" si="5"/>
        <v>19589.285714285714</v>
      </c>
      <c r="P6" s="9">
        <f t="shared" si="6"/>
        <v>17445.428571428572</v>
      </c>
      <c r="Q6" s="11">
        <f t="shared" si="7"/>
        <v>145841.42857142858</v>
      </c>
      <c r="R6" s="19">
        <f t="shared" si="8"/>
        <v>0.20096384376807125</v>
      </c>
    </row>
    <row r="7" spans="1:18" x14ac:dyDescent="0.25">
      <c r="A7" s="1" t="s">
        <v>5</v>
      </c>
      <c r="B7" s="8">
        <v>37994</v>
      </c>
      <c r="C7" s="9">
        <v>13000</v>
      </c>
      <c r="D7" s="9">
        <v>12000</v>
      </c>
      <c r="E7" s="9">
        <v>16300</v>
      </c>
      <c r="F7" s="9">
        <v>0</v>
      </c>
      <c r="G7" s="10">
        <v>9000</v>
      </c>
      <c r="H7" s="20">
        <v>11490</v>
      </c>
      <c r="I7" s="11">
        <f>SUM(B7:H7)</f>
        <v>99784</v>
      </c>
      <c r="J7" s="8">
        <f t="shared" si="1"/>
        <v>5427.7142857142853</v>
      </c>
      <c r="K7" s="12">
        <f t="shared" si="2"/>
        <v>1857.1428571428571</v>
      </c>
      <c r="L7" s="9">
        <f t="shared" si="3"/>
        <v>1714.2857142857142</v>
      </c>
      <c r="M7" s="9">
        <f t="shared" si="4"/>
        <v>2328.5714285714284</v>
      </c>
      <c r="N7" s="9">
        <f t="shared" si="0"/>
        <v>0</v>
      </c>
      <c r="O7" s="9">
        <f t="shared" si="5"/>
        <v>1285.7142857142858</v>
      </c>
      <c r="P7" s="9">
        <f t="shared" si="6"/>
        <v>1641.4285714285713</v>
      </c>
      <c r="Q7" s="11">
        <f t="shared" si="7"/>
        <v>14254.857142857143</v>
      </c>
      <c r="R7" s="19">
        <f t="shared" si="8"/>
        <v>1.964264140754951E-2</v>
      </c>
    </row>
    <row r="8" spans="1:18" x14ac:dyDescent="0.25">
      <c r="A8" s="1" t="s">
        <v>14</v>
      </c>
      <c r="B8" s="8">
        <f>(3700+12487+30606)</f>
        <v>46793</v>
      </c>
      <c r="C8" s="9">
        <f>(2002+20000)</f>
        <v>22002</v>
      </c>
      <c r="D8" s="9">
        <f>(7754+1002+40000)</f>
        <v>48756</v>
      </c>
      <c r="E8" s="9">
        <f>(17813+2004+60030+5767)</f>
        <v>85614</v>
      </c>
      <c r="F8" s="9">
        <v>4708</v>
      </c>
      <c r="G8" s="10">
        <v>198703</v>
      </c>
      <c r="H8" s="20">
        <v>12142.5</v>
      </c>
      <c r="I8" s="11">
        <f t="shared" ref="I8:I10" si="9">SUM(B8:G8)</f>
        <v>406576</v>
      </c>
      <c r="J8" s="8">
        <f t="shared" si="1"/>
        <v>6684.7142857142853</v>
      </c>
      <c r="K8" s="12">
        <f t="shared" si="2"/>
        <v>3143.1428571428573</v>
      </c>
      <c r="L8" s="9">
        <f t="shared" si="3"/>
        <v>6965.1428571428569</v>
      </c>
      <c r="M8" s="9">
        <f t="shared" si="4"/>
        <v>12230.571428571429</v>
      </c>
      <c r="N8" s="9">
        <f t="shared" si="0"/>
        <v>672.57142857142856</v>
      </c>
      <c r="O8" s="9">
        <f t="shared" si="5"/>
        <v>28386.142857142859</v>
      </c>
      <c r="P8" s="9">
        <f t="shared" si="6"/>
        <v>1734.6428571428571</v>
      </c>
      <c r="Q8" s="11">
        <f t="shared" si="7"/>
        <v>59816.928571428565</v>
      </c>
      <c r="R8" s="19">
        <f t="shared" si="8"/>
        <v>8.2425412352752137E-2</v>
      </c>
    </row>
    <row r="9" spans="1:18" x14ac:dyDescent="0.25">
      <c r="A9" s="1" t="s">
        <v>15</v>
      </c>
      <c r="B9" s="8">
        <f>(61084+19489+38816+68917+41921+39280+2645+3932)</f>
        <v>276084</v>
      </c>
      <c r="C9" s="9">
        <f>(5896+300+8000+5900+11000+3080+554)</f>
        <v>34730</v>
      </c>
      <c r="D9" s="9">
        <f>(16000+1550+7500+13878+6000+2692+956+2392+2151+223+45)</f>
        <v>53387</v>
      </c>
      <c r="E9" s="9">
        <f>(6000+2800+8722+3510+9540+5000+12617+4377+3386+5880+2550)</f>
        <v>64382</v>
      </c>
      <c r="F9" s="9">
        <v>68934</v>
      </c>
      <c r="G9" s="10">
        <v>78956</v>
      </c>
      <c r="H9" s="20">
        <v>108051</v>
      </c>
      <c r="I9" s="11">
        <f t="shared" si="9"/>
        <v>576473</v>
      </c>
      <c r="J9" s="8">
        <f t="shared" si="1"/>
        <v>39440.571428571428</v>
      </c>
      <c r="K9" s="12">
        <f t="shared" si="2"/>
        <v>4961.4285714285716</v>
      </c>
      <c r="L9" s="9">
        <f t="shared" si="3"/>
        <v>7626.7142857142853</v>
      </c>
      <c r="M9" s="9">
        <f t="shared" si="4"/>
        <v>9197.4285714285706</v>
      </c>
      <c r="N9" s="9">
        <f t="shared" si="0"/>
        <v>9847.7142857142862</v>
      </c>
      <c r="O9" s="9">
        <f t="shared" si="5"/>
        <v>11279.428571428571</v>
      </c>
      <c r="P9" s="9">
        <f t="shared" si="6"/>
        <v>15435.857142857143</v>
      </c>
      <c r="Q9" s="11">
        <f t="shared" si="7"/>
        <v>97789.142857142855</v>
      </c>
      <c r="R9" s="19">
        <f t="shared" si="8"/>
        <v>0.13474965392108376</v>
      </c>
    </row>
    <row r="10" spans="1:18" x14ac:dyDescent="0.25">
      <c r="A10" s="1" t="s">
        <v>21</v>
      </c>
      <c r="B10" s="8">
        <f>(1143+3860+910+830+400+1200+988+300+24610+2635)</f>
        <v>36876</v>
      </c>
      <c r="C10" s="9">
        <f>(100+1128+650+3600+1500+2000)</f>
        <v>8978</v>
      </c>
      <c r="D10" s="9">
        <f>(71+75+742+500+1000+2300+808+200+1632+2000+630)</f>
        <v>9958</v>
      </c>
      <c r="E10" s="9">
        <f>(125+2000+601+800+1000+1148+2000+925)</f>
        <v>8599</v>
      </c>
      <c r="F10" s="9">
        <v>8227</v>
      </c>
      <c r="G10" s="10">
        <v>6024</v>
      </c>
      <c r="H10" s="20">
        <v>2450</v>
      </c>
      <c r="I10" s="11">
        <f t="shared" si="9"/>
        <v>78662</v>
      </c>
      <c r="J10" s="8">
        <f t="shared" si="1"/>
        <v>5268</v>
      </c>
      <c r="K10" s="12">
        <f t="shared" si="2"/>
        <v>1282.5714285714287</v>
      </c>
      <c r="L10" s="9">
        <f t="shared" si="3"/>
        <v>1422.5714285714287</v>
      </c>
      <c r="M10" s="9">
        <f t="shared" si="4"/>
        <v>1228.4285714285713</v>
      </c>
      <c r="N10" s="9">
        <f t="shared" si="0"/>
        <v>1175.2857142857142</v>
      </c>
      <c r="O10" s="9">
        <f t="shared" si="5"/>
        <v>860.57142857142856</v>
      </c>
      <c r="P10" s="9">
        <f t="shared" si="6"/>
        <v>350</v>
      </c>
      <c r="Q10" s="11">
        <f t="shared" si="7"/>
        <v>11587.428571428571</v>
      </c>
      <c r="R10" s="19">
        <f t="shared" si="8"/>
        <v>1.5967028079142506E-2</v>
      </c>
    </row>
    <row r="11" spans="1:18" x14ac:dyDescent="0.25">
      <c r="A11" s="1" t="s">
        <v>20</v>
      </c>
      <c r="B11" s="8">
        <v>0</v>
      </c>
      <c r="C11" s="9">
        <f>(1600+300+700)</f>
        <v>2600</v>
      </c>
      <c r="D11" s="9">
        <v>1000</v>
      </c>
      <c r="E11" s="9">
        <f>(404+5020+3000)</f>
        <v>8424</v>
      </c>
      <c r="F11" s="9">
        <v>6610</v>
      </c>
      <c r="G11" s="10">
        <v>5800</v>
      </c>
      <c r="H11" s="20">
        <v>3606</v>
      </c>
      <c r="I11" s="11">
        <f>SUM(B11:H11)</f>
        <v>28040</v>
      </c>
      <c r="J11" s="8">
        <f t="shared" si="1"/>
        <v>0</v>
      </c>
      <c r="K11" s="12">
        <f t="shared" si="2"/>
        <v>371.42857142857144</v>
      </c>
      <c r="L11" s="9">
        <f t="shared" si="3"/>
        <v>142.85714285714286</v>
      </c>
      <c r="M11" s="9">
        <f t="shared" si="4"/>
        <v>1203.4285714285713</v>
      </c>
      <c r="N11" s="9">
        <f t="shared" si="0"/>
        <v>944.28571428571433</v>
      </c>
      <c r="O11" s="9">
        <f t="shared" si="5"/>
        <v>828.57142857142856</v>
      </c>
      <c r="P11" s="9">
        <f t="shared" si="6"/>
        <v>515.14285714285711</v>
      </c>
      <c r="Q11" s="11">
        <f t="shared" si="7"/>
        <v>4005.7142857142853</v>
      </c>
      <c r="R11" s="19">
        <f t="shared" si="8"/>
        <v>5.5197192442444504E-3</v>
      </c>
    </row>
    <row r="12" spans="1:18" x14ac:dyDescent="0.25">
      <c r="A12" s="1" t="s">
        <v>6</v>
      </c>
      <c r="B12" s="8">
        <f>(51713+431)</f>
        <v>52144</v>
      </c>
      <c r="C12" s="9">
        <v>4283</v>
      </c>
      <c r="D12" s="9">
        <f>(223+2398+2210)</f>
        <v>4831</v>
      </c>
      <c r="E12" s="9">
        <f>(523+23+460+857)</f>
        <v>1863</v>
      </c>
      <c r="F12" s="9">
        <v>459</v>
      </c>
      <c r="G12" s="12">
        <v>9724</v>
      </c>
      <c r="H12" s="9">
        <v>2995</v>
      </c>
      <c r="I12" s="11">
        <f>SUM(B12:H12)</f>
        <v>76299</v>
      </c>
      <c r="J12" s="8">
        <f t="shared" si="1"/>
        <v>7449.1428571428569</v>
      </c>
      <c r="K12" s="12">
        <f t="shared" si="2"/>
        <v>611.85714285714289</v>
      </c>
      <c r="L12" s="9">
        <f t="shared" si="3"/>
        <v>690.14285714285711</v>
      </c>
      <c r="M12" s="9">
        <f t="shared" si="4"/>
        <v>266.14285714285717</v>
      </c>
      <c r="N12" s="9">
        <f t="shared" si="0"/>
        <v>65.571428571428569</v>
      </c>
      <c r="O12" s="9">
        <f t="shared" si="5"/>
        <v>1389.1428571428571</v>
      </c>
      <c r="P12" s="9">
        <f t="shared" si="6"/>
        <v>427.85714285714283</v>
      </c>
      <c r="Q12" s="11">
        <f t="shared" si="7"/>
        <v>10899.857142857143</v>
      </c>
      <c r="R12" s="19">
        <f t="shared" si="8"/>
        <v>1.5019581263074443E-2</v>
      </c>
    </row>
    <row r="13" spans="1:18" x14ac:dyDescent="0.25">
      <c r="A13" s="1" t="s">
        <v>23</v>
      </c>
      <c r="B13" s="8">
        <v>0</v>
      </c>
      <c r="C13" s="9">
        <v>0</v>
      </c>
      <c r="D13" s="9">
        <v>0</v>
      </c>
      <c r="E13" s="9">
        <v>0</v>
      </c>
      <c r="F13" s="9">
        <v>1350</v>
      </c>
      <c r="G13" s="10">
        <v>3000</v>
      </c>
      <c r="H13" s="20">
        <v>0</v>
      </c>
      <c r="I13" s="11">
        <f>SUM(B13:H13)</f>
        <v>4350</v>
      </c>
      <c r="J13" s="8">
        <f t="shared" si="1"/>
        <v>0</v>
      </c>
      <c r="K13" s="9">
        <f t="shared" si="2"/>
        <v>0</v>
      </c>
      <c r="L13" s="9">
        <f t="shared" si="3"/>
        <v>0</v>
      </c>
      <c r="M13" s="9">
        <f t="shared" si="4"/>
        <v>0</v>
      </c>
      <c r="N13" s="9">
        <f t="shared" si="0"/>
        <v>192.85714285714286</v>
      </c>
      <c r="O13" s="9">
        <f t="shared" si="5"/>
        <v>428.57142857142856</v>
      </c>
      <c r="P13" s="9">
        <f t="shared" si="6"/>
        <v>0</v>
      </c>
      <c r="Q13" s="11">
        <f t="shared" si="7"/>
        <v>621.42857142857144</v>
      </c>
      <c r="R13" s="19">
        <f t="shared" si="8"/>
        <v>8.5630451898942089E-4</v>
      </c>
    </row>
    <row r="14" spans="1:18" ht="15.75" thickBot="1" x14ac:dyDescent="0.3">
      <c r="A14" s="1" t="s">
        <v>7</v>
      </c>
      <c r="B14" s="13">
        <v>0</v>
      </c>
      <c r="C14" s="14">
        <v>0</v>
      </c>
      <c r="D14" s="14">
        <v>3893</v>
      </c>
      <c r="E14" s="14">
        <v>45</v>
      </c>
      <c r="F14" s="14">
        <v>0</v>
      </c>
      <c r="G14" s="10">
        <v>0</v>
      </c>
      <c r="H14" s="20">
        <v>0</v>
      </c>
      <c r="I14" s="11">
        <f>SUM(B14:H14)</f>
        <v>3938</v>
      </c>
      <c r="J14" s="13">
        <f t="shared" si="1"/>
        <v>0</v>
      </c>
      <c r="K14" s="12">
        <f t="shared" si="2"/>
        <v>0</v>
      </c>
      <c r="L14" s="9">
        <f t="shared" si="3"/>
        <v>556.14285714285711</v>
      </c>
      <c r="M14" s="9">
        <f t="shared" si="4"/>
        <v>6.4285714285714288</v>
      </c>
      <c r="N14" s="9">
        <f t="shared" si="0"/>
        <v>0</v>
      </c>
      <c r="O14" s="9">
        <f t="shared" si="5"/>
        <v>0</v>
      </c>
      <c r="P14" s="9">
        <f t="shared" si="6"/>
        <v>0</v>
      </c>
      <c r="Q14" s="11">
        <f t="shared" si="7"/>
        <v>562.57142857142856</v>
      </c>
      <c r="R14" s="19">
        <f t="shared" si="8"/>
        <v>7.7520165420237683E-4</v>
      </c>
    </row>
    <row r="15" spans="1:18" ht="15.75" thickBot="1" x14ac:dyDescent="0.3">
      <c r="A15" s="3" t="s">
        <v>9</v>
      </c>
      <c r="B15" s="15">
        <f>SUM(B3:B14)</f>
        <v>1400240</v>
      </c>
      <c r="C15" s="16">
        <f t="shared" ref="C15:G15" si="10">SUM(C3:C14)</f>
        <v>397251</v>
      </c>
      <c r="D15" s="16">
        <f t="shared" si="10"/>
        <v>681657</v>
      </c>
      <c r="E15" s="16">
        <f t="shared" si="10"/>
        <v>845127</v>
      </c>
      <c r="F15" s="16">
        <f t="shared" si="10"/>
        <v>446300</v>
      </c>
      <c r="G15" s="16">
        <f t="shared" si="10"/>
        <v>733442</v>
      </c>
      <c r="H15" s="16">
        <f>SUM(H3:H14)</f>
        <v>575951.52</v>
      </c>
      <c r="I15" s="17">
        <f>SUM(I3:I14)</f>
        <v>4957325.0199999996</v>
      </c>
      <c r="J15" s="15">
        <f>SUM(J3:J14)</f>
        <v>200034.28571428571</v>
      </c>
      <c r="K15" s="18">
        <f t="shared" ref="K15:O15" si="11">SUM(K3:K14)</f>
        <v>56750.142857142855</v>
      </c>
      <c r="L15" s="16">
        <f t="shared" si="11"/>
        <v>97379.571428571435</v>
      </c>
      <c r="M15" s="16">
        <f t="shared" si="11"/>
        <v>120732.42857142855</v>
      </c>
      <c r="N15" s="16">
        <f t="shared" si="11"/>
        <v>63757.142857142862</v>
      </c>
      <c r="O15" s="16">
        <f t="shared" si="11"/>
        <v>104777.42857142858</v>
      </c>
      <c r="P15" s="16">
        <f>SUM(P3:P14)</f>
        <v>82278.78857142858</v>
      </c>
      <c r="Q15" s="17">
        <f>SUM(Q3:Q14)</f>
        <v>725709.78857142851</v>
      </c>
      <c r="R15" s="19"/>
    </row>
    <row r="17" spans="1:21" x14ac:dyDescent="0.25">
      <c r="A17" t="s">
        <v>17</v>
      </c>
    </row>
    <row r="18" spans="1:21" x14ac:dyDescent="0.25">
      <c r="A18" t="s">
        <v>13</v>
      </c>
      <c r="O18" s="7"/>
      <c r="P18" s="7"/>
      <c r="Q18" s="7"/>
      <c r="R18" s="7"/>
      <c r="S18" s="7"/>
      <c r="T18" s="7"/>
      <c r="U18" s="7"/>
    </row>
    <row r="19" spans="1:21" x14ac:dyDescent="0.25">
      <c r="A19" t="s">
        <v>18</v>
      </c>
      <c r="Q19" s="7"/>
      <c r="R19" s="7"/>
      <c r="S19" s="7"/>
      <c r="T19" s="7"/>
      <c r="U19" s="7"/>
    </row>
    <row r="20" spans="1:21" x14ac:dyDescent="0.25">
      <c r="A20" t="s">
        <v>16</v>
      </c>
      <c r="Q20" s="7"/>
      <c r="R20" s="7"/>
      <c r="S20" s="7"/>
      <c r="T20" s="7"/>
      <c r="U20" s="7"/>
    </row>
    <row r="21" spans="1:21" x14ac:dyDescent="0.25">
      <c r="A21" t="s">
        <v>22</v>
      </c>
      <c r="Q21" s="7"/>
      <c r="R21" s="7"/>
      <c r="S21" s="7"/>
      <c r="T21" s="7"/>
      <c r="U21" s="7"/>
    </row>
    <row r="22" spans="1:21" x14ac:dyDescent="0.25">
      <c r="A22" t="s">
        <v>19</v>
      </c>
      <c r="Q22" s="7"/>
      <c r="R22" s="7"/>
      <c r="S22" s="7"/>
      <c r="T22" s="7"/>
      <c r="U22" s="7"/>
    </row>
    <row r="23" spans="1:21" ht="30" customHeight="1" x14ac:dyDescent="0.25">
      <c r="A23" s="21" t="s">
        <v>24</v>
      </c>
      <c r="B23" s="21"/>
      <c r="C23" s="21"/>
      <c r="D23" s="21"/>
      <c r="E23" s="21"/>
      <c r="F23" s="21"/>
      <c r="G23" s="21"/>
      <c r="H23" s="21"/>
      <c r="I23" s="21"/>
      <c r="Q23" s="7"/>
      <c r="R23" s="7"/>
      <c r="S23" s="7"/>
      <c r="T23" s="7"/>
      <c r="U23" s="7"/>
    </row>
    <row r="25" spans="1:21" x14ac:dyDescent="0.25">
      <c r="Q25" s="7"/>
      <c r="R25" s="7"/>
      <c r="S25" s="7"/>
      <c r="T25" s="7"/>
      <c r="U25" s="7"/>
    </row>
    <row r="28" spans="1:21" x14ac:dyDescent="0.25">
      <c r="Q28" s="7"/>
      <c r="R28" s="7"/>
    </row>
    <row r="29" spans="1:21" x14ac:dyDescent="0.25">
      <c r="Q29" s="7"/>
      <c r="R29" s="7"/>
    </row>
    <row r="30" spans="1:21" x14ac:dyDescent="0.25">
      <c r="Q30" s="7"/>
      <c r="R30" s="7"/>
    </row>
  </sheetData>
  <mergeCells count="4">
    <mergeCell ref="A23:I23"/>
    <mergeCell ref="B1:I1"/>
    <mergeCell ref="J1:Q1"/>
    <mergeCell ref="A1:A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Peters, Michael (CIAT)</dc:creator>
  <cp:lastModifiedBy>Burkart, Stefan (CIAT)</cp:lastModifiedBy>
  <dcterms:created xsi:type="dcterms:W3CDTF">2015-04-14T17:15:46Z</dcterms:created>
  <dcterms:modified xsi:type="dcterms:W3CDTF">2018-02-26T18:36:32Z</dcterms:modified>
</cp:coreProperties>
</file>